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35" activeTab="0"/>
  </bookViews>
  <sheets>
    <sheet name="Acueducto" sheetId="1" r:id="rId1"/>
  </sheets>
  <definedNames>
    <definedName name="_xlnm.Print_Area" localSheetId="0">'Acueducto'!$B$1:$L$76</definedName>
  </definedNames>
  <calcPr fullCalcOnLoad="1"/>
</workbook>
</file>

<file path=xl/comments1.xml><?xml version="1.0" encoding="utf-8"?>
<comments xmlns="http://schemas.openxmlformats.org/spreadsheetml/2006/main">
  <authors>
    <author>Walter Wilfredo Rios Espinoza</author>
    <author>Walter Rios Espinoza</author>
  </authors>
  <commentList>
    <comment ref="D45" authorId="0">
      <text>
        <r>
          <rPr>
            <sz val="8"/>
            <rFont val="Tahoma"/>
            <family val="2"/>
          </rPr>
          <t xml:space="preserve">Tiene la condición de que si el radical de una ecuación cuadrática es negativo, requiere aumentar el espesor
</t>
        </r>
      </text>
    </comment>
    <comment ref="E36" authorId="1">
      <text>
        <r>
          <rPr>
            <b/>
            <sz val="8"/>
            <rFont val="Symbol"/>
            <family val="1"/>
          </rPr>
          <t>b</t>
        </r>
        <r>
          <rPr>
            <b/>
            <sz val="8"/>
            <rFont val="Tahoma"/>
            <family val="2"/>
          </rPr>
          <t xml:space="preserve">1=0.85 para fc&lt;=280
</t>
        </r>
        <r>
          <rPr>
            <b/>
            <sz val="8"/>
            <rFont val="Symbol"/>
            <family val="1"/>
          </rPr>
          <t>b</t>
        </r>
        <r>
          <rPr>
            <b/>
            <sz val="8"/>
            <rFont val="Tahoma"/>
            <family val="2"/>
          </rPr>
          <t xml:space="preserve">1=0.80 para fc=350
</t>
        </r>
        <r>
          <rPr>
            <b/>
            <sz val="8"/>
            <rFont val="Symbol"/>
            <family val="1"/>
          </rPr>
          <t>b</t>
        </r>
        <r>
          <rPr>
            <b/>
            <sz val="8"/>
            <rFont val="Tahoma"/>
            <family val="2"/>
          </rPr>
          <t>1=0.75 para fc=420</t>
        </r>
      </text>
    </comment>
  </commentList>
</comments>
</file>

<file path=xl/sharedStrings.xml><?xml version="1.0" encoding="utf-8"?>
<sst xmlns="http://schemas.openxmlformats.org/spreadsheetml/2006/main" count="107" uniqueCount="83">
  <si>
    <t>Kg/m3</t>
  </si>
  <si>
    <t>Kg/cm2</t>
  </si>
  <si>
    <t>Ø</t>
  </si>
  <si>
    <t>f'c</t>
  </si>
  <si>
    <t>cm</t>
  </si>
  <si>
    <t>cm2</t>
  </si>
  <si>
    <t>Usar Ø</t>
  </si>
  <si>
    <t>Kg-m</t>
  </si>
  <si>
    <t>r</t>
  </si>
  <si>
    <t>fy</t>
  </si>
  <si>
    <t>"</t>
  </si>
  <si>
    <r>
      <t>g</t>
    </r>
    <r>
      <rPr>
        <sz val="10"/>
        <color indexed="10"/>
        <rFont val="Arial"/>
        <family val="2"/>
      </rPr>
      <t>cº</t>
    </r>
  </si>
  <si>
    <t xml:space="preserve">Esfuerzo de fluencia del acero </t>
  </si>
  <si>
    <t>Area</t>
  </si>
  <si>
    <t xml:space="preserve">Calidad diseño de concreto </t>
  </si>
  <si>
    <t>Por otro lado, Ru = 0.9*p*Fy*(1-0.59*p*Fy/f'c)</t>
  </si>
  <si>
    <t>Resolviendo la ecuación cuadrática,  p =</t>
  </si>
  <si>
    <t>Kg/m</t>
  </si>
  <si>
    <t>ACERO DE REFUERZO</t>
  </si>
  <si>
    <t>PROYECTO:</t>
  </si>
  <si>
    <t>Espesor de recubrimiento del acero</t>
  </si>
  <si>
    <t>Metrado de cargas</t>
  </si>
  <si>
    <t>Sobrecarga adicional por pase peatonal</t>
  </si>
  <si>
    <t>Peso específico del agua</t>
  </si>
  <si>
    <t>g</t>
  </si>
  <si>
    <t>Calculo del momento máximo producido por la carga</t>
  </si>
  <si>
    <t>Selección del acero para la sección</t>
  </si>
  <si>
    <t>Refuerzo con</t>
  </si>
  <si>
    <t>DISEÑO DE ACUEDUCTO AREO CON CONCRETO ARMADO</t>
  </si>
  <si>
    <t>Carga permanente</t>
  </si>
  <si>
    <t>Peso propio del concreto armado</t>
  </si>
  <si>
    <t>Peso específico del concreto armado</t>
  </si>
  <si>
    <t>Peso del agua a sección llena</t>
  </si>
  <si>
    <t>Carga amplificada sobre una de las vigas</t>
  </si>
  <si>
    <t>w  =  (1.4D + 1.7 L)/2 =</t>
  </si>
  <si>
    <t>Peralte efectivo   d=h-r  =</t>
  </si>
  <si>
    <r>
      <t>El parametro  Ru  = Mu / (b * 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)  =</t>
    </r>
  </si>
  <si>
    <r>
      <t>Mu = ( w * L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) / 8   =</t>
    </r>
  </si>
  <si>
    <r>
      <t>La cuantía básica p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=0.85*f'c*</t>
    </r>
    <r>
      <rPr>
        <sz val="10"/>
        <rFont val="Symbol"/>
        <family val="1"/>
      </rPr>
      <t>b</t>
    </r>
    <r>
      <rPr>
        <sz val="10"/>
        <rFont val="Arial"/>
        <family val="2"/>
      </rPr>
      <t>1*6117/(fy*(fy+6117)) =</t>
    </r>
  </si>
  <si>
    <t>Luego,      p</t>
  </si>
  <si>
    <t>Acero mínimo</t>
  </si>
  <si>
    <r>
      <t>Amin = 0.8*f'c</t>
    </r>
    <r>
      <rPr>
        <vertAlign val="superscript"/>
        <sz val="10"/>
        <rFont val="Arial"/>
        <family val="2"/>
      </rPr>
      <t>0.5</t>
    </r>
    <r>
      <rPr>
        <sz val="10"/>
        <rFont val="Arial"/>
        <family val="2"/>
      </rPr>
      <t>*b*d/fy  =</t>
    </r>
  </si>
  <si>
    <t>Amin = 14.1*b*d/fy  =</t>
  </si>
  <si>
    <t>El area de acero resulta As = p*d*b=</t>
  </si>
  <si>
    <t>Luego, area de acero requerido es As =</t>
  </si>
  <si>
    <t>Calculo del acero de refuerzo longitudinal</t>
  </si>
  <si>
    <t>Calculo del acero de refuerzo transversal (estribos)</t>
  </si>
  <si>
    <t>La fuerza cortante última se da en el apoyo:</t>
  </si>
  <si>
    <t>Vu=w*L/2=</t>
  </si>
  <si>
    <t>kg</t>
  </si>
  <si>
    <t>La sección ubicada entre la cara del apoyo y una sección a una distancia igual al peralte</t>
  </si>
  <si>
    <t>de diseñará con la fuerza Vu_d =Vu-w*d =</t>
  </si>
  <si>
    <r>
      <t>La resistencia al corte aportado por el concreto es Vc=0.53*f'c</t>
    </r>
    <r>
      <rPr>
        <vertAlign val="superscript"/>
        <sz val="10"/>
        <rFont val="Arial"/>
        <family val="2"/>
      </rPr>
      <t>0.5</t>
    </r>
    <r>
      <rPr>
        <sz val="10"/>
        <rFont val="Arial"/>
        <family val="0"/>
      </rPr>
      <t>b*d =</t>
    </r>
  </si>
  <si>
    <r>
      <t xml:space="preserve">Para el concreto de  f'c  dado,   </t>
    </r>
    <r>
      <rPr>
        <sz val="10"/>
        <rFont val="Symbol"/>
        <family val="1"/>
      </rPr>
      <t>b</t>
    </r>
    <r>
      <rPr>
        <sz val="10"/>
        <rFont val="Arial"/>
        <family val="2"/>
      </rPr>
      <t>1  =</t>
    </r>
  </si>
  <si>
    <t>Kg</t>
  </si>
  <si>
    <t>La distancia donde se da esta cortante es L2  = (Vu_apoyo - ØVc)*L /2Vu_apoyo=</t>
  </si>
  <si>
    <t>La fuerza cortante de diseño en la longitud del tramo L2 es el Vu_d =</t>
  </si>
  <si>
    <t>El corte que debe ser resistido por el acero es  Vs = Vu/Ø  -  Vc  =</t>
  </si>
  <si>
    <t>Se dede verificar que el aporte del acero sea menor que el máximo, lo que se determina</t>
  </si>
  <si>
    <r>
      <t xml:space="preserve">    Vs = 2.1*f'c</t>
    </r>
    <r>
      <rPr>
        <vertAlign val="superscript"/>
        <sz val="10"/>
        <rFont val="Arial"/>
        <family val="2"/>
      </rPr>
      <t>0.5</t>
    </r>
    <r>
      <rPr>
        <sz val="10"/>
        <rFont val="Arial"/>
        <family val="0"/>
      </rPr>
      <t>*b*d =</t>
    </r>
  </si>
  <si>
    <t>kg     &gt;</t>
  </si>
  <si>
    <t>Se usará acero longitudinal</t>
  </si>
  <si>
    <t>Se usará acero para estribo</t>
  </si>
  <si>
    <t>, entonces  el area es Av =</t>
  </si>
  <si>
    <t xml:space="preserve">El espaciamiento de los estribos se determina por  S = Av*fy*d/Vs = </t>
  </si>
  <si>
    <t>El área de acero de cada estribo, para el acero definido es Av=2*area</t>
  </si>
  <si>
    <t>Este espaciamiento no debe ser mayor que el máximo permitido, lo que depende de la</t>
  </si>
  <si>
    <t>manigtud de la resistencia a corte aportada por el acero, en este caso:</t>
  </si>
  <si>
    <t xml:space="preserve">      Vs =</t>
  </si>
  <si>
    <r>
      <t xml:space="preserve">  &lt;      1.1*f'c</t>
    </r>
    <r>
      <rPr>
        <vertAlign val="superscript"/>
        <sz val="10"/>
        <rFont val="Arial"/>
        <family val="2"/>
      </rPr>
      <t>0.5</t>
    </r>
    <r>
      <rPr>
        <sz val="10"/>
        <rFont val="Arial"/>
        <family val="0"/>
      </rPr>
      <t>*b*d =</t>
    </r>
  </si>
  <si>
    <t>Luego, el espaciamiento máximo será menor de   60 cm  ó   d/2    =</t>
  </si>
  <si>
    <t>Luego, el espaciamiento de los estribos será  a cada</t>
  </si>
  <si>
    <t xml:space="preserve">En el tramo de la viga sometido a fuerza cortante mayor que ØVc/2  y  ØVc, se distribuirá </t>
  </si>
  <si>
    <t>refuerzo transversal mínimo.</t>
  </si>
  <si>
    <t xml:space="preserve">,   S = Av*fy/(3.5*b) = </t>
  </si>
  <si>
    <t>Este espaciamineto es en el tramo L2 hasta L3, donde L3  resulta:</t>
  </si>
  <si>
    <t xml:space="preserve">         L3  = (Vu_apoyo - ØVc/2)*L /2Vu_apoyo=</t>
  </si>
  <si>
    <t>En el tramo desde L3 hasta el centro de luz, la fuerza cortante es menor que ØVc/2, por lo</t>
  </si>
  <si>
    <r>
      <t>0.75*p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  =</t>
    </r>
  </si>
  <si>
    <t xml:space="preserve">      ØVc = 0.85*Vc   = </t>
  </si>
  <si>
    <t>que no requiere refuerzo transversal, pero con fines constructivos se colocará el acero mínimo</t>
  </si>
  <si>
    <t>espaciados @</t>
  </si>
  <si>
    <t>MEJORAMIENTO CANAL ESCALON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</si>
</sst>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0.000"/>
    <numFmt numFmtId="181" formatCode="0.00&quot; m&quot;"/>
    <numFmt numFmtId="182" formatCode="0.00&quot; %&quot;"/>
    <numFmt numFmtId="183" formatCode="0.0\ &quot;cm&quot;"/>
    <numFmt numFmtId="184" formatCode="0.00&quot; cm&quot;"/>
    <numFmt numFmtId="185" formatCode="#&quot; &quot;?/?&quot;''&quot;"/>
    <numFmt numFmtId="186" formatCode="#\ ?/?&quot;''&quot;"/>
    <numFmt numFmtId="187" formatCode="General&quot;cm&quot;"/>
    <numFmt numFmtId="188" formatCode="&quot;w = &quot;0.00&quot; Kg/m)&quot;"/>
    <numFmt numFmtId="189" formatCode="0&quot; Varillas&quot;"/>
    <numFmt numFmtId="190" formatCode="0.0&quot; cm&quot;"/>
    <numFmt numFmtId="191" formatCode="0.0"/>
    <numFmt numFmtId="192" formatCode="0.0000"/>
    <numFmt numFmtId="193" formatCode="0&quot; kg&quot;"/>
    <numFmt numFmtId="194" formatCode="0.00&quot; cm2&quot;"/>
    <numFmt numFmtId="195" formatCode="0.00000"/>
    <numFmt numFmtId="196" formatCode="0&quot; cm&quot;"/>
    <numFmt numFmtId="197" formatCode="0.00000000"/>
    <numFmt numFmtId="198" formatCode="0.0000000"/>
    <numFmt numFmtId="199" formatCode="0.000000"/>
    <numFmt numFmtId="200" formatCode="0.\5\5&quot; m&quot;"/>
    <numFmt numFmtId="201" formatCode="&quot;Estr.con&quot;#\ ?/?&quot;''&quot;"/>
    <numFmt numFmtId="202" formatCode="&quot;Estribos &quot;#\ ?/?&quot; &quot;"/>
    <numFmt numFmtId="203" formatCode="&quot;Estribos &quot;#\ ?/?&quot;'' &quot;"/>
  </numFmts>
  <fonts count="57">
    <font>
      <sz val="10"/>
      <name val="Arial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UniversalMath1 BT"/>
      <family val="1"/>
    </font>
    <font>
      <sz val="8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0"/>
      <name val="Symbol"/>
      <family val="1"/>
    </font>
    <font>
      <b/>
      <sz val="8"/>
      <name val="Tahoma"/>
      <family val="2"/>
    </font>
    <font>
      <b/>
      <sz val="8"/>
      <name val="Symbol"/>
      <family val="1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bgColor indexed="13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9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12" fontId="0" fillId="0" borderId="10" xfId="0" applyNumberFormat="1" applyBorder="1" applyAlignment="1">
      <alignment horizontal="center"/>
    </xf>
    <xf numFmtId="12" fontId="0" fillId="0" borderId="11" xfId="0" applyNumberFormat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2" fillId="0" borderId="0" xfId="0" applyFont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12" fontId="0" fillId="0" borderId="12" xfId="0" applyNumberFormat="1" applyBorder="1" applyAlignment="1">
      <alignment horizontal="center"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85" fontId="0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Continuous"/>
    </xf>
    <xf numFmtId="180" fontId="0" fillId="0" borderId="16" xfId="0" applyNumberFormat="1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180" fontId="0" fillId="0" borderId="13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2" fontId="0" fillId="0" borderId="17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15" xfId="0" applyBorder="1" applyAlignment="1">
      <alignment horizontal="left"/>
    </xf>
    <xf numFmtId="0" fontId="14" fillId="0" borderId="0" xfId="0" applyFont="1" applyAlignment="1" applyProtection="1">
      <alignment/>
      <protection locked="0"/>
    </xf>
    <xf numFmtId="182" fontId="5" fillId="0" borderId="0" xfId="0" applyNumberFormat="1" applyFont="1" applyFill="1" applyAlignment="1">
      <alignment horizontal="left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/>
    </xf>
    <xf numFmtId="182" fontId="5" fillId="0" borderId="0" xfId="0" applyNumberFormat="1" applyFont="1" applyFill="1" applyAlignment="1">
      <alignment/>
    </xf>
    <xf numFmtId="2" fontId="0" fillId="33" borderId="0" xfId="0" applyNumberFormat="1" applyFill="1" applyBorder="1" applyAlignment="1" applyProtection="1">
      <alignment/>
      <protection locked="0"/>
    </xf>
    <xf numFmtId="186" fontId="0" fillId="33" borderId="0" xfId="0" applyNumberFormat="1" applyFill="1" applyBorder="1" applyAlignment="1" applyProtection="1">
      <alignment horizontal="right"/>
      <protection locked="0"/>
    </xf>
    <xf numFmtId="187" fontId="0" fillId="0" borderId="0" xfId="0" applyNumberFormat="1" applyAlignment="1">
      <alignment/>
    </xf>
    <xf numFmtId="183" fontId="0" fillId="0" borderId="0" xfId="0" applyNumberFormat="1" applyFill="1" applyBorder="1" applyAlignment="1">
      <alignment/>
    </xf>
    <xf numFmtId="189" fontId="0" fillId="0" borderId="0" xfId="0" applyNumberFormat="1" applyAlignment="1">
      <alignment horizontal="center"/>
    </xf>
    <xf numFmtId="185" fontId="0" fillId="0" borderId="0" xfId="0" applyNumberFormat="1" applyAlignment="1">
      <alignment horizontal="left"/>
    </xf>
    <xf numFmtId="0" fontId="0" fillId="1" borderId="20" xfId="0" applyFill="1" applyBorder="1" applyAlignment="1">
      <alignment/>
    </xf>
    <xf numFmtId="2" fontId="7" fillId="33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1" fontId="0" fillId="0" borderId="0" xfId="0" applyNumberFormat="1" applyAlignment="1">
      <alignment/>
    </xf>
    <xf numFmtId="190" fontId="0" fillId="0" borderId="0" xfId="0" applyNumberFormat="1" applyAlignment="1">
      <alignment/>
    </xf>
    <xf numFmtId="191" fontId="0" fillId="0" borderId="0" xfId="0" applyNumberFormat="1" applyAlignment="1">
      <alignment horizontal="right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 applyAlignment="1">
      <alignment horizontal="center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 horizontal="center"/>
    </xf>
    <xf numFmtId="189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left"/>
    </xf>
    <xf numFmtId="1" fontId="0" fillId="0" borderId="0" xfId="0" applyNumberFormat="1" applyAlignment="1">
      <alignment horizontal="center"/>
    </xf>
    <xf numFmtId="193" fontId="0" fillId="0" borderId="0" xfId="0" applyNumberFormat="1" applyAlignment="1">
      <alignment horizontal="left"/>
    </xf>
    <xf numFmtId="194" fontId="0" fillId="0" borderId="0" xfId="0" applyNumberFormat="1" applyAlignment="1">
      <alignment horizontal="left"/>
    </xf>
    <xf numFmtId="196" fontId="0" fillId="0" borderId="0" xfId="0" applyNumberFormat="1" applyAlignment="1">
      <alignment horizontal="left"/>
    </xf>
    <xf numFmtId="184" fontId="0" fillId="0" borderId="0" xfId="0" applyNumberFormat="1" applyAlignment="1">
      <alignment horizontal="left"/>
    </xf>
    <xf numFmtId="181" fontId="0" fillId="0" borderId="0" xfId="0" applyNumberFormat="1" applyAlignment="1">
      <alignment horizontal="left"/>
    </xf>
    <xf numFmtId="2" fontId="7" fillId="0" borderId="0" xfId="0" applyNumberFormat="1" applyFont="1" applyFill="1" applyAlignment="1">
      <alignment horizontal="center"/>
    </xf>
    <xf numFmtId="182" fontId="0" fillId="0" borderId="0" xfId="0" applyNumberFormat="1" applyFont="1" applyFill="1" applyAlignment="1">
      <alignment horizontal="center"/>
    </xf>
    <xf numFmtId="182" fontId="1" fillId="0" borderId="0" xfId="0" applyNumberFormat="1" applyFont="1" applyFill="1" applyAlignment="1">
      <alignment horizontal="left"/>
    </xf>
    <xf numFmtId="182" fontId="0" fillId="0" borderId="0" xfId="0" applyNumberFormat="1" applyAlignment="1">
      <alignment/>
    </xf>
    <xf numFmtId="196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186" fontId="0" fillId="0" borderId="0" xfId="0" applyNumberFormat="1" applyAlignment="1">
      <alignment/>
    </xf>
    <xf numFmtId="20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190" fontId="0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18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7" fillId="33" borderId="0" xfId="0" applyFont="1" applyFill="1" applyBorder="1" applyAlignment="1">
      <alignment horizontal="left" vertical="center"/>
    </xf>
    <xf numFmtId="0" fontId="0" fillId="1" borderId="21" xfId="0" applyFill="1" applyBorder="1" applyAlignment="1">
      <alignment horizontal="center"/>
    </xf>
    <xf numFmtId="0" fontId="0" fillId="1" borderId="22" xfId="0" applyFill="1" applyBorder="1" applyAlignment="1">
      <alignment horizontal="center"/>
    </xf>
    <xf numFmtId="0" fontId="0" fillId="1" borderId="23" xfId="0" applyFill="1" applyBorder="1" applyAlignment="1">
      <alignment horizontal="center"/>
    </xf>
    <xf numFmtId="0" fontId="0" fillId="1" borderId="24" xfId="0" applyFill="1" applyBorder="1" applyAlignment="1">
      <alignment horizontal="center"/>
    </xf>
    <xf numFmtId="0" fontId="0" fillId="1" borderId="25" xfId="0" applyFill="1" applyBorder="1" applyAlignment="1">
      <alignment horizontal="center"/>
    </xf>
    <xf numFmtId="0" fontId="0" fillId="1" borderId="26" xfId="0" applyFill="1" applyBorder="1" applyAlignment="1">
      <alignment horizontal="center"/>
    </xf>
    <xf numFmtId="188" fontId="0" fillId="34" borderId="27" xfId="0" applyNumberFormat="1" applyFill="1" applyBorder="1" applyAlignment="1">
      <alignment horizontal="center"/>
    </xf>
    <xf numFmtId="188" fontId="0" fillId="34" borderId="20" xfId="0" applyNumberFormat="1" applyFill="1" applyBorder="1" applyAlignment="1">
      <alignment horizontal="center"/>
    </xf>
    <xf numFmtId="188" fontId="0" fillId="34" borderId="28" xfId="0" applyNumberFormat="1" applyFill="1" applyBorder="1" applyAlignment="1">
      <alignment horizontal="center"/>
    </xf>
    <xf numFmtId="181" fontId="0" fillId="33" borderId="0" xfId="0" applyNumberFormat="1" applyFill="1" applyAlignment="1">
      <alignment horizontal="center"/>
    </xf>
    <xf numFmtId="0" fontId="0" fillId="0" borderId="22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15</xdr:row>
      <xdr:rowOff>9525</xdr:rowOff>
    </xdr:from>
    <xdr:to>
      <xdr:col>2</xdr:col>
      <xdr:colOff>57150</xdr:colOff>
      <xdr:row>15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809625" y="2562225"/>
          <a:ext cx="1047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15</xdr:row>
      <xdr:rowOff>9525</xdr:rowOff>
    </xdr:from>
    <xdr:to>
      <xdr:col>6</xdr:col>
      <xdr:colOff>47625</xdr:colOff>
      <xdr:row>15</xdr:row>
      <xdr:rowOff>142875</xdr:rowOff>
    </xdr:to>
    <xdr:sp>
      <xdr:nvSpPr>
        <xdr:cNvPr id="2" name="AutoShape 3"/>
        <xdr:cNvSpPr>
          <a:spLocks/>
        </xdr:cNvSpPr>
      </xdr:nvSpPr>
      <xdr:spPr>
        <a:xfrm>
          <a:off x="4019550" y="2562225"/>
          <a:ext cx="12382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15</xdr:row>
      <xdr:rowOff>142875</xdr:rowOff>
    </xdr:from>
    <xdr:to>
      <xdr:col>2</xdr:col>
      <xdr:colOff>142875</xdr:colOff>
      <xdr:row>15</xdr:row>
      <xdr:rowOff>142875</xdr:rowOff>
    </xdr:to>
    <xdr:sp>
      <xdr:nvSpPr>
        <xdr:cNvPr id="3" name="Line 4"/>
        <xdr:cNvSpPr>
          <a:spLocks/>
        </xdr:cNvSpPr>
      </xdr:nvSpPr>
      <xdr:spPr>
        <a:xfrm>
          <a:off x="742950" y="2695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15</xdr:row>
      <xdr:rowOff>152400</xdr:rowOff>
    </xdr:from>
    <xdr:to>
      <xdr:col>1</xdr:col>
      <xdr:colOff>657225</xdr:colOff>
      <xdr:row>16</xdr:row>
      <xdr:rowOff>47625</xdr:rowOff>
    </xdr:to>
    <xdr:sp>
      <xdr:nvSpPr>
        <xdr:cNvPr id="4" name="Line 5"/>
        <xdr:cNvSpPr>
          <a:spLocks/>
        </xdr:cNvSpPr>
      </xdr:nvSpPr>
      <xdr:spPr>
        <a:xfrm flipV="1">
          <a:off x="714375" y="2705100"/>
          <a:ext cx="381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15</xdr:row>
      <xdr:rowOff>152400</xdr:rowOff>
    </xdr:from>
    <xdr:to>
      <xdr:col>1</xdr:col>
      <xdr:colOff>704850</xdr:colOff>
      <xdr:row>16</xdr:row>
      <xdr:rowOff>47625</xdr:rowOff>
    </xdr:to>
    <xdr:sp>
      <xdr:nvSpPr>
        <xdr:cNvPr id="5" name="Line 6"/>
        <xdr:cNvSpPr>
          <a:spLocks/>
        </xdr:cNvSpPr>
      </xdr:nvSpPr>
      <xdr:spPr>
        <a:xfrm flipV="1">
          <a:off x="762000" y="2705100"/>
          <a:ext cx="381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714375</xdr:colOff>
      <xdr:row>15</xdr:row>
      <xdr:rowOff>152400</xdr:rowOff>
    </xdr:from>
    <xdr:to>
      <xdr:col>1</xdr:col>
      <xdr:colOff>752475</xdr:colOff>
      <xdr:row>16</xdr:row>
      <xdr:rowOff>47625</xdr:rowOff>
    </xdr:to>
    <xdr:sp>
      <xdr:nvSpPr>
        <xdr:cNvPr id="6" name="Line 7"/>
        <xdr:cNvSpPr>
          <a:spLocks/>
        </xdr:cNvSpPr>
      </xdr:nvSpPr>
      <xdr:spPr>
        <a:xfrm flipV="1">
          <a:off x="809625" y="2705100"/>
          <a:ext cx="381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152400</xdr:rowOff>
    </xdr:from>
    <xdr:to>
      <xdr:col>2</xdr:col>
      <xdr:colOff>38100</xdr:colOff>
      <xdr:row>16</xdr:row>
      <xdr:rowOff>47625</xdr:rowOff>
    </xdr:to>
    <xdr:sp>
      <xdr:nvSpPr>
        <xdr:cNvPr id="7" name="Line 8"/>
        <xdr:cNvSpPr>
          <a:spLocks/>
        </xdr:cNvSpPr>
      </xdr:nvSpPr>
      <xdr:spPr>
        <a:xfrm flipV="1">
          <a:off x="857250" y="2705100"/>
          <a:ext cx="381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15</xdr:row>
      <xdr:rowOff>142875</xdr:rowOff>
    </xdr:from>
    <xdr:to>
      <xdr:col>2</xdr:col>
      <xdr:colOff>85725</xdr:colOff>
      <xdr:row>16</xdr:row>
      <xdr:rowOff>38100</xdr:rowOff>
    </xdr:to>
    <xdr:sp>
      <xdr:nvSpPr>
        <xdr:cNvPr id="8" name="Line 9"/>
        <xdr:cNvSpPr>
          <a:spLocks/>
        </xdr:cNvSpPr>
      </xdr:nvSpPr>
      <xdr:spPr>
        <a:xfrm flipV="1">
          <a:off x="904875" y="2695575"/>
          <a:ext cx="381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15</xdr:row>
      <xdr:rowOff>152400</xdr:rowOff>
    </xdr:from>
    <xdr:to>
      <xdr:col>2</xdr:col>
      <xdr:colOff>123825</xdr:colOff>
      <xdr:row>16</xdr:row>
      <xdr:rowOff>47625</xdr:rowOff>
    </xdr:to>
    <xdr:sp>
      <xdr:nvSpPr>
        <xdr:cNvPr id="9" name="Line 10"/>
        <xdr:cNvSpPr>
          <a:spLocks/>
        </xdr:cNvSpPr>
      </xdr:nvSpPr>
      <xdr:spPr>
        <a:xfrm flipV="1">
          <a:off x="942975" y="2705100"/>
          <a:ext cx="381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15</xdr:row>
      <xdr:rowOff>152400</xdr:rowOff>
    </xdr:from>
    <xdr:to>
      <xdr:col>5</xdr:col>
      <xdr:colOff>742950</xdr:colOff>
      <xdr:row>16</xdr:row>
      <xdr:rowOff>38100</xdr:rowOff>
    </xdr:to>
    <xdr:sp>
      <xdr:nvSpPr>
        <xdr:cNvPr id="10" name="Oval 11"/>
        <xdr:cNvSpPr>
          <a:spLocks/>
        </xdr:cNvSpPr>
      </xdr:nvSpPr>
      <xdr:spPr>
        <a:xfrm>
          <a:off x="4019550" y="2705100"/>
          <a:ext cx="38100" cy="57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152400</xdr:rowOff>
    </xdr:from>
    <xdr:to>
      <xdr:col>6</xdr:col>
      <xdr:colOff>38100</xdr:colOff>
      <xdr:row>16</xdr:row>
      <xdr:rowOff>38100</xdr:rowOff>
    </xdr:to>
    <xdr:sp>
      <xdr:nvSpPr>
        <xdr:cNvPr id="11" name="Oval 12"/>
        <xdr:cNvSpPr>
          <a:spLocks/>
        </xdr:cNvSpPr>
      </xdr:nvSpPr>
      <xdr:spPr>
        <a:xfrm>
          <a:off x="4095750" y="2705100"/>
          <a:ext cx="38100" cy="57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16</xdr:row>
      <xdr:rowOff>38100</xdr:rowOff>
    </xdr:from>
    <xdr:to>
      <xdr:col>6</xdr:col>
      <xdr:colOff>114300</xdr:colOff>
      <xdr:row>16</xdr:row>
      <xdr:rowOff>38100</xdr:rowOff>
    </xdr:to>
    <xdr:sp>
      <xdr:nvSpPr>
        <xdr:cNvPr id="12" name="Line 13"/>
        <xdr:cNvSpPr>
          <a:spLocks/>
        </xdr:cNvSpPr>
      </xdr:nvSpPr>
      <xdr:spPr>
        <a:xfrm>
          <a:off x="3981450" y="27622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76200</xdr:rowOff>
    </xdr:from>
    <xdr:to>
      <xdr:col>3</xdr:col>
      <xdr:colOff>295275</xdr:colOff>
      <xdr:row>16</xdr:row>
      <xdr:rowOff>76200</xdr:rowOff>
    </xdr:to>
    <xdr:sp>
      <xdr:nvSpPr>
        <xdr:cNvPr id="13" name="Line 14"/>
        <xdr:cNvSpPr>
          <a:spLocks/>
        </xdr:cNvSpPr>
      </xdr:nvSpPr>
      <xdr:spPr>
        <a:xfrm flipH="1">
          <a:off x="866775" y="280035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619125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4" name="Line 15"/>
        <xdr:cNvSpPr>
          <a:spLocks/>
        </xdr:cNvSpPr>
      </xdr:nvSpPr>
      <xdr:spPr>
        <a:xfrm>
          <a:off x="3171825" y="28194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28575</xdr:rowOff>
    </xdr:from>
    <xdr:to>
      <xdr:col>2</xdr:col>
      <xdr:colOff>0</xdr:colOff>
      <xdr:row>16</xdr:row>
      <xdr:rowOff>142875</xdr:rowOff>
    </xdr:to>
    <xdr:sp>
      <xdr:nvSpPr>
        <xdr:cNvPr id="15" name="Line 16"/>
        <xdr:cNvSpPr>
          <a:spLocks/>
        </xdr:cNvSpPr>
      </xdr:nvSpPr>
      <xdr:spPr>
        <a:xfrm>
          <a:off x="857250" y="27527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47625</xdr:rowOff>
    </xdr:from>
    <xdr:to>
      <xdr:col>6</xdr:col>
      <xdr:colOff>0</xdr:colOff>
      <xdr:row>16</xdr:row>
      <xdr:rowOff>152400</xdr:rowOff>
    </xdr:to>
    <xdr:sp>
      <xdr:nvSpPr>
        <xdr:cNvPr id="16" name="Line 17"/>
        <xdr:cNvSpPr>
          <a:spLocks/>
        </xdr:cNvSpPr>
      </xdr:nvSpPr>
      <xdr:spPr>
        <a:xfrm>
          <a:off x="4095750" y="27717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13</xdr:row>
      <xdr:rowOff>0</xdr:rowOff>
    </xdr:from>
    <xdr:to>
      <xdr:col>11</xdr:col>
      <xdr:colOff>66675</xdr:colOff>
      <xdr:row>13</xdr:row>
      <xdr:rowOff>0</xdr:rowOff>
    </xdr:to>
    <xdr:sp>
      <xdr:nvSpPr>
        <xdr:cNvPr id="17" name="Line 18"/>
        <xdr:cNvSpPr>
          <a:spLocks/>
        </xdr:cNvSpPr>
      </xdr:nvSpPr>
      <xdr:spPr>
        <a:xfrm>
          <a:off x="5153025" y="2238375"/>
          <a:ext cx="142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16</xdr:row>
      <xdr:rowOff>0</xdr:rowOff>
    </xdr:from>
    <xdr:to>
      <xdr:col>11</xdr:col>
      <xdr:colOff>85725</xdr:colOff>
      <xdr:row>16</xdr:row>
      <xdr:rowOff>0</xdr:rowOff>
    </xdr:to>
    <xdr:sp>
      <xdr:nvSpPr>
        <xdr:cNvPr id="18" name="Line 19"/>
        <xdr:cNvSpPr>
          <a:spLocks/>
        </xdr:cNvSpPr>
      </xdr:nvSpPr>
      <xdr:spPr>
        <a:xfrm>
          <a:off x="5153025" y="2724150"/>
          <a:ext cx="161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17</xdr:row>
      <xdr:rowOff>0</xdr:rowOff>
    </xdr:from>
    <xdr:to>
      <xdr:col>11</xdr:col>
      <xdr:colOff>85725</xdr:colOff>
      <xdr:row>17</xdr:row>
      <xdr:rowOff>0</xdr:rowOff>
    </xdr:to>
    <xdr:sp>
      <xdr:nvSpPr>
        <xdr:cNvPr id="19" name="Line 20"/>
        <xdr:cNvSpPr>
          <a:spLocks/>
        </xdr:cNvSpPr>
      </xdr:nvSpPr>
      <xdr:spPr>
        <a:xfrm>
          <a:off x="5153025" y="2895600"/>
          <a:ext cx="161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12</xdr:row>
      <xdr:rowOff>152400</xdr:rowOff>
    </xdr:from>
    <xdr:to>
      <xdr:col>10</xdr:col>
      <xdr:colOff>76200</xdr:colOff>
      <xdr:row>17</xdr:row>
      <xdr:rowOff>28575</xdr:rowOff>
    </xdr:to>
    <xdr:sp>
      <xdr:nvSpPr>
        <xdr:cNvPr id="20" name="Line 21"/>
        <xdr:cNvSpPr>
          <a:spLocks/>
        </xdr:cNvSpPr>
      </xdr:nvSpPr>
      <xdr:spPr>
        <a:xfrm>
          <a:off x="5210175" y="2219325"/>
          <a:ext cx="0" cy="704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12</xdr:row>
      <xdr:rowOff>142875</xdr:rowOff>
    </xdr:from>
    <xdr:to>
      <xdr:col>11</xdr:col>
      <xdr:colOff>19050</xdr:colOff>
      <xdr:row>13</xdr:row>
      <xdr:rowOff>19050</xdr:rowOff>
    </xdr:to>
    <xdr:sp>
      <xdr:nvSpPr>
        <xdr:cNvPr id="21" name="Line 22"/>
        <xdr:cNvSpPr>
          <a:spLocks/>
        </xdr:cNvSpPr>
      </xdr:nvSpPr>
      <xdr:spPr>
        <a:xfrm flipH="1">
          <a:off x="5191125" y="2209800"/>
          <a:ext cx="57150" cy="47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15</xdr:row>
      <xdr:rowOff>114300</xdr:rowOff>
    </xdr:from>
    <xdr:to>
      <xdr:col>11</xdr:col>
      <xdr:colOff>19050</xdr:colOff>
      <xdr:row>16</xdr:row>
      <xdr:rowOff>28575</xdr:rowOff>
    </xdr:to>
    <xdr:sp>
      <xdr:nvSpPr>
        <xdr:cNvPr id="22" name="Line 23"/>
        <xdr:cNvSpPr>
          <a:spLocks/>
        </xdr:cNvSpPr>
      </xdr:nvSpPr>
      <xdr:spPr>
        <a:xfrm flipH="1">
          <a:off x="5181600" y="2667000"/>
          <a:ext cx="66675" cy="85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16</xdr:row>
      <xdr:rowOff>133350</xdr:rowOff>
    </xdr:from>
    <xdr:to>
      <xdr:col>11</xdr:col>
      <xdr:colOff>19050</xdr:colOff>
      <xdr:row>17</xdr:row>
      <xdr:rowOff>28575</xdr:rowOff>
    </xdr:to>
    <xdr:sp>
      <xdr:nvSpPr>
        <xdr:cNvPr id="23" name="Line 24"/>
        <xdr:cNvSpPr>
          <a:spLocks/>
        </xdr:cNvSpPr>
      </xdr:nvSpPr>
      <xdr:spPr>
        <a:xfrm flipH="1">
          <a:off x="5181600" y="2857500"/>
          <a:ext cx="66675" cy="66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12</xdr:row>
      <xdr:rowOff>66675</xdr:rowOff>
    </xdr:from>
    <xdr:to>
      <xdr:col>10</xdr:col>
      <xdr:colOff>38100</xdr:colOff>
      <xdr:row>12</xdr:row>
      <xdr:rowOff>66675</xdr:rowOff>
    </xdr:to>
    <xdr:sp>
      <xdr:nvSpPr>
        <xdr:cNvPr id="24" name="Line 25"/>
        <xdr:cNvSpPr>
          <a:spLocks/>
        </xdr:cNvSpPr>
      </xdr:nvSpPr>
      <xdr:spPr>
        <a:xfrm>
          <a:off x="4257675" y="2133600"/>
          <a:ext cx="914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28575</xdr:rowOff>
    </xdr:from>
    <xdr:to>
      <xdr:col>7</xdr:col>
      <xdr:colOff>0</xdr:colOff>
      <xdr:row>12</xdr:row>
      <xdr:rowOff>123825</xdr:rowOff>
    </xdr:to>
    <xdr:sp>
      <xdr:nvSpPr>
        <xdr:cNvPr id="25" name="Line 26"/>
        <xdr:cNvSpPr>
          <a:spLocks/>
        </xdr:cNvSpPr>
      </xdr:nvSpPr>
      <xdr:spPr>
        <a:xfrm>
          <a:off x="4276725" y="2095500"/>
          <a:ext cx="0" cy="95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19050</xdr:rowOff>
    </xdr:from>
    <xdr:to>
      <xdr:col>8</xdr:col>
      <xdr:colOff>0</xdr:colOff>
      <xdr:row>12</xdr:row>
      <xdr:rowOff>123825</xdr:rowOff>
    </xdr:to>
    <xdr:sp>
      <xdr:nvSpPr>
        <xdr:cNvPr id="26" name="Line 27"/>
        <xdr:cNvSpPr>
          <a:spLocks/>
        </xdr:cNvSpPr>
      </xdr:nvSpPr>
      <xdr:spPr>
        <a:xfrm>
          <a:off x="4562475" y="2085975"/>
          <a:ext cx="0" cy="104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19050</xdr:rowOff>
    </xdr:from>
    <xdr:to>
      <xdr:col>9</xdr:col>
      <xdr:colOff>0</xdr:colOff>
      <xdr:row>12</xdr:row>
      <xdr:rowOff>123825</xdr:rowOff>
    </xdr:to>
    <xdr:sp>
      <xdr:nvSpPr>
        <xdr:cNvPr id="27" name="Line 28"/>
        <xdr:cNvSpPr>
          <a:spLocks/>
        </xdr:cNvSpPr>
      </xdr:nvSpPr>
      <xdr:spPr>
        <a:xfrm>
          <a:off x="4848225" y="2085975"/>
          <a:ext cx="0" cy="104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28575</xdr:rowOff>
    </xdr:from>
    <xdr:to>
      <xdr:col>10</xdr:col>
      <xdr:colOff>0</xdr:colOff>
      <xdr:row>12</xdr:row>
      <xdr:rowOff>133350</xdr:rowOff>
    </xdr:to>
    <xdr:sp>
      <xdr:nvSpPr>
        <xdr:cNvPr id="28" name="Line 30"/>
        <xdr:cNvSpPr>
          <a:spLocks/>
        </xdr:cNvSpPr>
      </xdr:nvSpPr>
      <xdr:spPr>
        <a:xfrm>
          <a:off x="5133975" y="2095500"/>
          <a:ext cx="0" cy="104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12</xdr:row>
      <xdr:rowOff>28575</xdr:rowOff>
    </xdr:from>
    <xdr:to>
      <xdr:col>7</xdr:col>
      <xdr:colOff>38100</xdr:colOff>
      <xdr:row>12</xdr:row>
      <xdr:rowOff>95250</xdr:rowOff>
    </xdr:to>
    <xdr:sp>
      <xdr:nvSpPr>
        <xdr:cNvPr id="29" name="Line 31"/>
        <xdr:cNvSpPr>
          <a:spLocks/>
        </xdr:cNvSpPr>
      </xdr:nvSpPr>
      <xdr:spPr>
        <a:xfrm flipH="1">
          <a:off x="4248150" y="2095500"/>
          <a:ext cx="66675" cy="66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12</xdr:row>
      <xdr:rowOff>28575</xdr:rowOff>
    </xdr:from>
    <xdr:to>
      <xdr:col>8</xdr:col>
      <xdr:colOff>38100</xdr:colOff>
      <xdr:row>12</xdr:row>
      <xdr:rowOff>95250</xdr:rowOff>
    </xdr:to>
    <xdr:sp>
      <xdr:nvSpPr>
        <xdr:cNvPr id="30" name="Line 32"/>
        <xdr:cNvSpPr>
          <a:spLocks/>
        </xdr:cNvSpPr>
      </xdr:nvSpPr>
      <xdr:spPr>
        <a:xfrm flipH="1">
          <a:off x="4533900" y="2095500"/>
          <a:ext cx="66675" cy="66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12</xdr:row>
      <xdr:rowOff>28575</xdr:rowOff>
    </xdr:from>
    <xdr:to>
      <xdr:col>9</xdr:col>
      <xdr:colOff>38100</xdr:colOff>
      <xdr:row>12</xdr:row>
      <xdr:rowOff>95250</xdr:rowOff>
    </xdr:to>
    <xdr:sp>
      <xdr:nvSpPr>
        <xdr:cNvPr id="31" name="Line 33"/>
        <xdr:cNvSpPr>
          <a:spLocks/>
        </xdr:cNvSpPr>
      </xdr:nvSpPr>
      <xdr:spPr>
        <a:xfrm flipH="1">
          <a:off x="4819650" y="2095500"/>
          <a:ext cx="66675" cy="66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12</xdr:row>
      <xdr:rowOff>28575</xdr:rowOff>
    </xdr:from>
    <xdr:to>
      <xdr:col>10</xdr:col>
      <xdr:colOff>38100</xdr:colOff>
      <xdr:row>12</xdr:row>
      <xdr:rowOff>95250</xdr:rowOff>
    </xdr:to>
    <xdr:sp>
      <xdr:nvSpPr>
        <xdr:cNvPr id="32" name="Line 34"/>
        <xdr:cNvSpPr>
          <a:spLocks/>
        </xdr:cNvSpPr>
      </xdr:nvSpPr>
      <xdr:spPr>
        <a:xfrm flipH="1">
          <a:off x="5105400" y="2095500"/>
          <a:ext cx="66675" cy="66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W76"/>
  <sheetViews>
    <sheetView tabSelected="1" zoomScalePageLayoutView="0" workbookViewId="0" topLeftCell="A1">
      <selection activeCell="I29" sqref="I29"/>
    </sheetView>
  </sheetViews>
  <sheetFormatPr defaultColWidth="11.421875" defaultRowHeight="12.75"/>
  <cols>
    <col min="1" max="1" width="1.421875" style="0" customWidth="1"/>
    <col min="3" max="4" width="12.7109375" style="0" bestFit="1" customWidth="1"/>
    <col min="6" max="6" width="11.7109375" style="0" bestFit="1" customWidth="1"/>
    <col min="7" max="7" width="2.7109375" style="0" customWidth="1"/>
    <col min="8" max="10" width="4.28125" style="0" customWidth="1"/>
    <col min="11" max="11" width="1.421875" style="0" customWidth="1"/>
    <col min="12" max="12" width="4.57421875" style="0" customWidth="1"/>
  </cols>
  <sheetData>
    <row r="1" spans="2:12" ht="15.75">
      <c r="B1" s="80" t="s">
        <v>28</v>
      </c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2:16" ht="15" customHeight="1">
      <c r="B2" s="30"/>
      <c r="C2" s="29"/>
      <c r="D2" s="29"/>
      <c r="E2" s="29"/>
      <c r="F2" s="29"/>
      <c r="G2" s="29"/>
      <c r="H2" s="29"/>
      <c r="I2" s="29"/>
      <c r="J2" s="29"/>
      <c r="K2" s="29"/>
      <c r="L2" s="10"/>
      <c r="N2" s="36" t="s">
        <v>18</v>
      </c>
      <c r="O2" s="23"/>
      <c r="P2" s="23"/>
    </row>
    <row r="3" spans="2:16" ht="15.75">
      <c r="B3" s="30" t="s">
        <v>19</v>
      </c>
      <c r="D3" s="37" t="s">
        <v>82</v>
      </c>
      <c r="N3" s="22" t="s">
        <v>2</v>
      </c>
      <c r="O3" s="22" t="s">
        <v>13</v>
      </c>
      <c r="P3" s="22" t="s">
        <v>2</v>
      </c>
    </row>
    <row r="4" spans="2:16" ht="15.75">
      <c r="B4" s="30"/>
      <c r="E4" s="37"/>
      <c r="N4" s="21" t="s">
        <v>10</v>
      </c>
      <c r="O4" s="21" t="s">
        <v>5</v>
      </c>
      <c r="P4" s="21" t="s">
        <v>4</v>
      </c>
    </row>
    <row r="5" spans="2:16" ht="12.75">
      <c r="B5" s="12" t="s">
        <v>23</v>
      </c>
      <c r="C5" s="12"/>
      <c r="D5" s="12"/>
      <c r="E5" s="34" t="s">
        <v>24</v>
      </c>
      <c r="F5" s="42">
        <v>1000</v>
      </c>
      <c r="G5" s="35" t="s">
        <v>0</v>
      </c>
      <c r="N5" s="15">
        <v>0.25</v>
      </c>
      <c r="O5" s="31">
        <v>0.32</v>
      </c>
      <c r="P5" s="24">
        <v>0.635</v>
      </c>
    </row>
    <row r="6" spans="2:16" ht="12.75">
      <c r="B6" s="12" t="s">
        <v>31</v>
      </c>
      <c r="C6" s="12"/>
      <c r="D6" s="12"/>
      <c r="E6" s="34" t="s">
        <v>11</v>
      </c>
      <c r="F6" s="42">
        <v>2400</v>
      </c>
      <c r="G6" s="35" t="s">
        <v>0</v>
      </c>
      <c r="N6" s="7">
        <f>3/8</f>
        <v>0.375</v>
      </c>
      <c r="O6" s="32">
        <v>0.71</v>
      </c>
      <c r="P6" s="25">
        <v>0.952</v>
      </c>
    </row>
    <row r="7" spans="2:16" ht="12.75">
      <c r="B7" s="12" t="s">
        <v>14</v>
      </c>
      <c r="C7" s="12"/>
      <c r="D7" s="12"/>
      <c r="E7" s="13" t="s">
        <v>3</v>
      </c>
      <c r="F7" s="42">
        <v>210</v>
      </c>
      <c r="G7" s="35" t="s">
        <v>1</v>
      </c>
      <c r="N7" s="7">
        <f>1/2</f>
        <v>0.5</v>
      </c>
      <c r="O7" s="32">
        <v>1.29</v>
      </c>
      <c r="P7" s="25">
        <v>1.27</v>
      </c>
    </row>
    <row r="8" spans="2:16" ht="12.75">
      <c r="B8" s="12" t="s">
        <v>12</v>
      </c>
      <c r="C8" s="12"/>
      <c r="D8" s="12"/>
      <c r="E8" s="13" t="s">
        <v>9</v>
      </c>
      <c r="F8" s="42">
        <v>4200</v>
      </c>
      <c r="G8" s="35" t="s">
        <v>1</v>
      </c>
      <c r="N8" s="7">
        <f>5/8</f>
        <v>0.625</v>
      </c>
      <c r="O8" s="32">
        <v>2</v>
      </c>
      <c r="P8" s="25">
        <v>1.588</v>
      </c>
    </row>
    <row r="9" spans="2:16" ht="12.75">
      <c r="B9" s="12" t="s">
        <v>20</v>
      </c>
      <c r="C9" s="12"/>
      <c r="D9" s="12"/>
      <c r="E9" s="13" t="s">
        <v>8</v>
      </c>
      <c r="F9" s="42">
        <v>5</v>
      </c>
      <c r="G9" s="35" t="s">
        <v>4</v>
      </c>
      <c r="N9" s="7">
        <f>3/4</f>
        <v>0.75</v>
      </c>
      <c r="O9" s="32">
        <v>2.84</v>
      </c>
      <c r="P9" s="25">
        <v>1.905</v>
      </c>
    </row>
    <row r="10" spans="2:16" ht="12.75">
      <c r="B10" s="12" t="s">
        <v>61</v>
      </c>
      <c r="C10" s="12"/>
      <c r="D10" s="12"/>
      <c r="E10" s="13" t="s">
        <v>2</v>
      </c>
      <c r="F10" s="43">
        <f>N6</f>
        <v>0.375</v>
      </c>
      <c r="G10" s="35"/>
      <c r="N10" s="7">
        <f>7/8</f>
        <v>0.875</v>
      </c>
      <c r="O10" s="32">
        <v>3.87</v>
      </c>
      <c r="P10" s="25">
        <v>2.222</v>
      </c>
    </row>
    <row r="11" spans="2:16" ht="12.75">
      <c r="B11" s="12" t="s">
        <v>62</v>
      </c>
      <c r="C11" s="12"/>
      <c r="D11" s="12"/>
      <c r="E11" s="13" t="s">
        <v>2</v>
      </c>
      <c r="F11" s="43">
        <v>0.25</v>
      </c>
      <c r="G11" s="35"/>
      <c r="N11" s="11">
        <v>1</v>
      </c>
      <c r="O11" s="32">
        <v>5.1</v>
      </c>
      <c r="P11" s="25">
        <v>2.54</v>
      </c>
    </row>
    <row r="12" spans="8:16" ht="11.25" customHeight="1">
      <c r="H12" s="49">
        <v>0.1</v>
      </c>
      <c r="I12" s="50">
        <v>0.3</v>
      </c>
      <c r="J12" s="69">
        <f>H12</f>
        <v>0.1</v>
      </c>
      <c r="N12" s="8">
        <f>1+3/8</f>
        <v>1.375</v>
      </c>
      <c r="O12" s="33">
        <v>10.06</v>
      </c>
      <c r="P12" s="26">
        <v>3.58</v>
      </c>
    </row>
    <row r="13" spans="22:23" ht="13.5" thickBot="1">
      <c r="V13" s="2"/>
      <c r="W13" s="2"/>
    </row>
    <row r="14" spans="8:23" ht="12.75" customHeight="1" thickBot="1">
      <c r="H14" s="86"/>
      <c r="I14" s="96"/>
      <c r="J14" s="89"/>
      <c r="L14" s="85">
        <v>0.2</v>
      </c>
      <c r="V14" s="2"/>
      <c r="W14" s="2"/>
    </row>
    <row r="15" spans="3:12" ht="12" customHeight="1" thickBot="1">
      <c r="C15" s="92"/>
      <c r="D15" s="93"/>
      <c r="E15" s="93"/>
      <c r="F15" s="94"/>
      <c r="H15" s="87"/>
      <c r="I15" s="96"/>
      <c r="J15" s="90"/>
      <c r="L15" s="85"/>
    </row>
    <row r="16" spans="8:13" ht="13.5" thickBot="1">
      <c r="H16" s="87"/>
      <c r="I16" s="96"/>
      <c r="J16" s="90"/>
      <c r="L16" s="85"/>
      <c r="M16" s="72"/>
    </row>
    <row r="17" spans="3:12" ht="13.5" thickBot="1">
      <c r="C17" s="95">
        <v>8</v>
      </c>
      <c r="D17" s="95"/>
      <c r="E17" s="95"/>
      <c r="F17" s="95"/>
      <c r="H17" s="88"/>
      <c r="I17" s="48"/>
      <c r="J17" s="91"/>
      <c r="L17" s="51">
        <v>0.1</v>
      </c>
    </row>
    <row r="18" spans="4:10" ht="12.75">
      <c r="D18" t="s">
        <v>27</v>
      </c>
      <c r="E18" s="46">
        <f>+D45</f>
        <v>4.5</v>
      </c>
      <c r="F18" s="47">
        <f>+C45</f>
        <v>0.375</v>
      </c>
      <c r="H18" s="39"/>
      <c r="I18" s="40"/>
      <c r="J18" s="39"/>
    </row>
    <row r="19" spans="3:4" ht="12.75">
      <c r="C19" s="77">
        <f>F11</f>
        <v>0.25</v>
      </c>
      <c r="D19" s="76" t="str">
        <f>CEILING(J54*100/F66,1)&amp;" @ "&amp;F66&amp;"+"&amp;CEILING((F73-J54)*100/F71,1)&amp;" @ "&amp;F71&amp;"+"&amp;" resto"&amp;" @ "&amp;E76&amp;"hasta el centro"</f>
        <v>0 @ 12+11 @ 12+ resto @ 12hasta el centro</v>
      </c>
    </row>
    <row r="20" spans="3:4" ht="12.75">
      <c r="C20" s="77"/>
      <c r="D20" s="76"/>
    </row>
    <row r="21" ht="12.75">
      <c r="B21" s="20" t="s">
        <v>21</v>
      </c>
    </row>
    <row r="22" spans="2:6" ht="12.75">
      <c r="B22" t="s">
        <v>29</v>
      </c>
      <c r="E22" s="52">
        <v>0</v>
      </c>
      <c r="F22" t="s">
        <v>17</v>
      </c>
    </row>
    <row r="23" spans="2:6" ht="12.75">
      <c r="B23" t="s">
        <v>30</v>
      </c>
      <c r="E23">
        <f>F6*(L14*J12+H12*L14+L17*(H12+I12+J12))</f>
        <v>216.00000000000003</v>
      </c>
      <c r="F23" t="s">
        <v>17</v>
      </c>
    </row>
    <row r="24" spans="2:6" ht="12.75">
      <c r="B24" t="s">
        <v>32</v>
      </c>
      <c r="E24">
        <f>+I12*L14*F5</f>
        <v>60</v>
      </c>
      <c r="F24" t="s">
        <v>17</v>
      </c>
    </row>
    <row r="25" spans="2:6" ht="12.75">
      <c r="B25" t="s">
        <v>22</v>
      </c>
      <c r="E25" s="52">
        <v>120</v>
      </c>
      <c r="F25" t="s">
        <v>17</v>
      </c>
    </row>
    <row r="27" ht="12.75">
      <c r="B27" s="14" t="s">
        <v>33</v>
      </c>
    </row>
    <row r="28" spans="2:5" ht="12.75">
      <c r="B28" t="s">
        <v>34</v>
      </c>
      <c r="D28" s="53">
        <f>ROUND((1.4*(E23+E22)+1.7*(E24+E25))/2,0)</f>
        <v>304</v>
      </c>
      <c r="E28" t="s">
        <v>17</v>
      </c>
    </row>
    <row r="29" spans="2:4" ht="12.75">
      <c r="B29" s="14" t="s">
        <v>25</v>
      </c>
      <c r="D29" s="1"/>
    </row>
    <row r="30" spans="2:5" ht="14.25">
      <c r="B30" s="4" t="s">
        <v>37</v>
      </c>
      <c r="D30" s="53">
        <f>D28*C17^2/8</f>
        <v>2432</v>
      </c>
      <c r="E30" t="s">
        <v>7</v>
      </c>
    </row>
    <row r="31" ht="12.75">
      <c r="B31" s="20" t="s">
        <v>45</v>
      </c>
    </row>
    <row r="32" spans="2:4" ht="12.75">
      <c r="B32" t="s">
        <v>35</v>
      </c>
      <c r="C32" s="5"/>
      <c r="D32" s="54">
        <f>(L14+L17)*100-F9</f>
        <v>25.000000000000004</v>
      </c>
    </row>
    <row r="33" spans="2:6" ht="14.25">
      <c r="B33" t="s">
        <v>36</v>
      </c>
      <c r="C33" s="5"/>
      <c r="D33" s="54"/>
      <c r="E33" s="55">
        <f>ROUND(D30/(J12*D32^2),1)</f>
        <v>38.9</v>
      </c>
      <c r="F33" t="s">
        <v>1</v>
      </c>
    </row>
    <row r="34" spans="2:5" ht="12.75">
      <c r="B34" t="s">
        <v>15</v>
      </c>
      <c r="E34" s="1"/>
    </row>
    <row r="35" spans="2:7" ht="12.75">
      <c r="B35" s="3" t="s">
        <v>16</v>
      </c>
      <c r="C35" s="9"/>
      <c r="D35" s="1"/>
      <c r="E35" s="38">
        <f>(-F8+(F8^2-4*0.59*F8^2/F7*E33/0.9)^0.5)/(-2*0.59*F8^2/F7)*100</f>
        <v>1.1986338578810758</v>
      </c>
      <c r="F35" s="41"/>
      <c r="G35" s="16"/>
    </row>
    <row r="36" spans="2:7" ht="12.75">
      <c r="B36" s="3" t="s">
        <v>53</v>
      </c>
      <c r="C36" s="9"/>
      <c r="D36" s="1"/>
      <c r="E36" s="62">
        <f>IF(F7&lt;=280,0.85,0.85-0.05*(F7-280)/70)</f>
        <v>0.85</v>
      </c>
      <c r="F36" s="41"/>
      <c r="G36" s="16"/>
    </row>
    <row r="37" spans="2:7" ht="15.75">
      <c r="B37" s="3" t="s">
        <v>38</v>
      </c>
      <c r="C37" s="9"/>
      <c r="D37" s="1"/>
      <c r="E37" s="38"/>
      <c r="F37" s="41">
        <f>0.85*F7*E36*6117/(F8*(F8+6117))*100</f>
        <v>2.1418690026170397</v>
      </c>
      <c r="G37" s="16"/>
    </row>
    <row r="38" spans="2:7" ht="15.75">
      <c r="B38" s="3" t="s">
        <v>39</v>
      </c>
      <c r="C38" s="28" t="str">
        <f>IF(E35&lt;0.75*F37,"&lt;","&gt;")</f>
        <v>&lt;</v>
      </c>
      <c r="D38" s="1" t="s">
        <v>78</v>
      </c>
      <c r="E38" s="70">
        <f>0.75*F37</f>
        <v>1.6064017519627798</v>
      </c>
      <c r="F38" s="71">
        <f>IF(E35&lt;0.75*F37,"","REDIMENSIONE LA SECCION O DISEÑE ACERO EN COMPRENSIÓN")</f>
      </c>
      <c r="G38" s="16"/>
    </row>
    <row r="39" spans="2:7" ht="12.75">
      <c r="B39" s="3" t="s">
        <v>43</v>
      </c>
      <c r="C39" s="28"/>
      <c r="D39" s="1"/>
      <c r="E39" s="56">
        <f>+E35/100*D32*J12*100</f>
        <v>2.9965846447026894</v>
      </c>
      <c r="F39" s="1" t="s">
        <v>5</v>
      </c>
      <c r="G39" s="16"/>
    </row>
    <row r="40" spans="2:7" ht="12.75">
      <c r="B40" s="3" t="s">
        <v>40</v>
      </c>
      <c r="C40" s="28"/>
      <c r="D40" s="1"/>
      <c r="E40" s="56"/>
      <c r="F40" s="1"/>
      <c r="G40" s="16"/>
    </row>
    <row r="41" spans="3:7" ht="14.25">
      <c r="C41" s="3" t="s">
        <v>41</v>
      </c>
      <c r="D41" s="28"/>
      <c r="E41" s="58">
        <f>0.8*F7^0.5*J12*100*D32/F8</f>
        <v>0.6900655593423545</v>
      </c>
      <c r="F41" s="1" t="s">
        <v>5</v>
      </c>
      <c r="G41" s="16"/>
    </row>
    <row r="42" spans="2:7" ht="12.75">
      <c r="B42" s="3"/>
      <c r="C42" s="57" t="s">
        <v>42</v>
      </c>
      <c r="D42" s="1"/>
      <c r="E42" s="56">
        <f>14.1*J12*100*D32/F8</f>
        <v>0.8392857142857144</v>
      </c>
      <c r="F42" s="1" t="s">
        <v>5</v>
      </c>
      <c r="G42" s="16"/>
    </row>
    <row r="43" spans="2:6" ht="12.75">
      <c r="B43" s="3" t="s">
        <v>44</v>
      </c>
      <c r="C43" s="9"/>
      <c r="E43" s="60">
        <f>MAX(E39,E41,E42)</f>
        <v>2.9965846447026894</v>
      </c>
      <c r="F43" s="59" t="s">
        <v>5</v>
      </c>
    </row>
    <row r="44" ht="12.75">
      <c r="B44" s="6" t="s">
        <v>26</v>
      </c>
    </row>
    <row r="45" spans="2:12" ht="12.75">
      <c r="B45" s="17" t="s">
        <v>6</v>
      </c>
      <c r="C45" s="19">
        <f>+F10</f>
        <v>0.375</v>
      </c>
      <c r="D45" s="61">
        <f>IF(F8^2-4*0.59*F8^2/F7*E33/0.9&lt;0,"Aumente el espesor",CEILING(E43/VLOOKUP(C45,$N$5:$O$12,2),0.5))</f>
        <v>4.5</v>
      </c>
      <c r="F45" s="45"/>
      <c r="G45" s="12"/>
      <c r="H45" s="27"/>
      <c r="I45" s="44"/>
      <c r="K45" s="44"/>
      <c r="L45" s="44"/>
    </row>
    <row r="46" spans="2:11" ht="12.75">
      <c r="B46" s="12"/>
      <c r="C46" s="12"/>
      <c r="D46" s="12"/>
      <c r="E46" s="28"/>
      <c r="F46" s="18"/>
      <c r="G46" s="12"/>
      <c r="H46" s="12"/>
      <c r="I46" s="12"/>
      <c r="J46" s="12"/>
      <c r="K46" s="12"/>
    </row>
    <row r="47" ht="12.75">
      <c r="B47" s="20" t="s">
        <v>46</v>
      </c>
    </row>
    <row r="48" ht="12.75">
      <c r="B48" t="s">
        <v>47</v>
      </c>
    </row>
    <row r="49" spans="2:4" ht="12.75">
      <c r="B49" t="s">
        <v>48</v>
      </c>
      <c r="C49">
        <f>D28*C17/2</f>
        <v>1216</v>
      </c>
      <c r="D49" t="s">
        <v>49</v>
      </c>
    </row>
    <row r="50" ht="12.75">
      <c r="B50" t="s">
        <v>50</v>
      </c>
    </row>
    <row r="51" spans="2:6" ht="12.75">
      <c r="B51" t="s">
        <v>51</v>
      </c>
      <c r="E51" s="53">
        <f>C49-D28*D32/100</f>
        <v>1140</v>
      </c>
      <c r="F51" t="s">
        <v>49</v>
      </c>
    </row>
    <row r="52" spans="2:10" ht="14.25">
      <c r="B52" t="s">
        <v>52</v>
      </c>
      <c r="H52" s="83">
        <f>0.53*F7^0.5*H12*100*D32</f>
        <v>1920.107418870101</v>
      </c>
      <c r="I52" s="83"/>
      <c r="J52" t="s">
        <v>54</v>
      </c>
    </row>
    <row r="53" spans="2:5" ht="12.75">
      <c r="B53" t="s">
        <v>79</v>
      </c>
      <c r="D53" s="63">
        <f>0.85*H52</f>
        <v>1632.0913060395858</v>
      </c>
      <c r="E53" t="s">
        <v>54</v>
      </c>
    </row>
    <row r="54" spans="2:12" ht="12.75">
      <c r="B54" t="s">
        <v>55</v>
      </c>
      <c r="J54" s="81">
        <f>IF(C49&lt;D53,0,ROUND((C49-D53)*C17/C49/2,2))</f>
        <v>0</v>
      </c>
      <c r="K54" s="81"/>
      <c r="L54" s="81"/>
    </row>
    <row r="55" spans="2:9" ht="12.75">
      <c r="B55" t="s">
        <v>56</v>
      </c>
      <c r="G55" s="82">
        <f>E51</f>
        <v>1140</v>
      </c>
      <c r="H55" s="82"/>
      <c r="I55" t="s">
        <v>49</v>
      </c>
    </row>
    <row r="56" spans="2:9" ht="12.75">
      <c r="B56" t="s">
        <v>57</v>
      </c>
      <c r="G56" s="82">
        <f>IF(G55/0.85-H52&lt;0,0,G55/0.85-H52)</f>
        <v>0</v>
      </c>
      <c r="H56" s="82"/>
      <c r="I56" t="s">
        <v>49</v>
      </c>
    </row>
    <row r="57" ht="12.75">
      <c r="B57" t="s">
        <v>58</v>
      </c>
    </row>
    <row r="58" spans="2:10" ht="14.25">
      <c r="B58" t="s">
        <v>59</v>
      </c>
      <c r="D58" s="1">
        <f>2.1*F7^0.5*H12*100*D32</f>
        <v>7607.9727917494565</v>
      </c>
      <c r="E58" t="s">
        <v>60</v>
      </c>
      <c r="F58" s="64">
        <f>G56</f>
        <v>0</v>
      </c>
      <c r="G58" s="78" t="b">
        <f>D58&gt;F58</f>
        <v>1</v>
      </c>
      <c r="H58" s="78"/>
      <c r="I58" s="78"/>
      <c r="J58" s="78"/>
    </row>
    <row r="59" spans="2:9" ht="12.75">
      <c r="B59" t="s">
        <v>65</v>
      </c>
      <c r="H59" s="83"/>
      <c r="I59" s="83"/>
    </row>
    <row r="60" spans="2:6" ht="12.75">
      <c r="B60" s="17" t="s">
        <v>6</v>
      </c>
      <c r="C60" s="19">
        <f>F11</f>
        <v>0.25</v>
      </c>
      <c r="D60" t="s">
        <v>63</v>
      </c>
      <c r="F60" s="65">
        <f>2*VLOOKUP(C60,$N$5:$O$12,2)</f>
        <v>0.64</v>
      </c>
    </row>
    <row r="61" spans="2:9" ht="12.75">
      <c r="B61" t="s">
        <v>64</v>
      </c>
      <c r="G61" s="84">
        <f>IF(G56=0,MAX(G65,60),F60*F8*D32/G56)</f>
        <v>60</v>
      </c>
      <c r="H61" s="84"/>
      <c r="I61" t="s">
        <v>4</v>
      </c>
    </row>
    <row r="62" ht="12.75">
      <c r="B62" t="s">
        <v>66</v>
      </c>
    </row>
    <row r="63" ht="12.75">
      <c r="B63" t="s">
        <v>67</v>
      </c>
    </row>
    <row r="64" spans="2:10" ht="14.25">
      <c r="B64" s="5" t="s">
        <v>68</v>
      </c>
      <c r="C64" s="63">
        <f>G56</f>
        <v>0</v>
      </c>
      <c r="D64" t="s">
        <v>69</v>
      </c>
      <c r="F64" s="64">
        <f>1.1*F7^0.5*H12*100*D32</f>
        <v>3985.1286052020964</v>
      </c>
      <c r="G64" s="78" t="b">
        <f>C64&lt;F64</f>
        <v>1</v>
      </c>
      <c r="H64" s="78"/>
      <c r="I64" s="78"/>
      <c r="J64" s="78"/>
    </row>
    <row r="65" spans="2:10" ht="12.75">
      <c r="B65" t="s">
        <v>70</v>
      </c>
      <c r="G65" s="79">
        <f>D32/2</f>
        <v>12.500000000000002</v>
      </c>
      <c r="H65" s="79"/>
      <c r="I65" s="79"/>
      <c r="J65" s="79"/>
    </row>
    <row r="66" spans="2:10" ht="12.75">
      <c r="B66" t="s">
        <v>71</v>
      </c>
      <c r="F66" s="73">
        <f>INT(MIN(60,G65,G61))</f>
        <v>12</v>
      </c>
      <c r="G66" s="75">
        <f>IF(F66&lt;=0,"NO REQUIERE ESTRIBOS","")</f>
      </c>
      <c r="H66" s="74"/>
      <c r="I66" s="74"/>
      <c r="J66" s="74"/>
    </row>
    <row r="68" ht="12.75">
      <c r="B68" t="s">
        <v>72</v>
      </c>
    </row>
    <row r="69" ht="12.75">
      <c r="B69" t="s">
        <v>73</v>
      </c>
    </row>
    <row r="70" spans="2:6" ht="12.75">
      <c r="B70" s="17" t="s">
        <v>6</v>
      </c>
      <c r="C70" s="19">
        <f>F11</f>
        <v>0.25</v>
      </c>
      <c r="D70" t="s">
        <v>74</v>
      </c>
      <c r="F70" s="67">
        <f>F60*F8/(3.5*H12*100)</f>
        <v>76.8</v>
      </c>
    </row>
    <row r="71" spans="2:6" ht="12.75">
      <c r="B71" t="s">
        <v>71</v>
      </c>
      <c r="F71" s="66">
        <f>INT(MIN(60,F70,G65))</f>
        <v>12</v>
      </c>
    </row>
    <row r="72" ht="12.75">
      <c r="B72" t="s">
        <v>75</v>
      </c>
    </row>
    <row r="73" spans="2:7" ht="12.75">
      <c r="B73" t="s">
        <v>76</v>
      </c>
      <c r="F73" s="68">
        <f>(C49-D53/2)*C17/C49/2</f>
        <v>1.315639299276997</v>
      </c>
      <c r="G73" s="75"/>
    </row>
    <row r="74" ht="12.75">
      <c r="B74" t="s">
        <v>77</v>
      </c>
    </row>
    <row r="75" ht="12.75">
      <c r="B75" t="s">
        <v>80</v>
      </c>
    </row>
    <row r="76" spans="2:5" ht="12.75">
      <c r="B76" s="17" t="s">
        <v>6</v>
      </c>
      <c r="C76" s="19">
        <f>C70</f>
        <v>0.25</v>
      </c>
      <c r="D76" t="s">
        <v>81</v>
      </c>
      <c r="E76" s="66">
        <f>INT(MIN(60,G65))</f>
        <v>12</v>
      </c>
    </row>
  </sheetData>
  <sheetProtection/>
  <mergeCells count="16">
    <mergeCell ref="L14:L16"/>
    <mergeCell ref="H14:H17"/>
    <mergeCell ref="J14:J17"/>
    <mergeCell ref="C15:F15"/>
    <mergeCell ref="C17:F17"/>
    <mergeCell ref="I14:I16"/>
    <mergeCell ref="G64:J64"/>
    <mergeCell ref="G65:J65"/>
    <mergeCell ref="B1:L1"/>
    <mergeCell ref="J54:L54"/>
    <mergeCell ref="G56:H56"/>
    <mergeCell ref="G58:J58"/>
    <mergeCell ref="H59:I59"/>
    <mergeCell ref="G61:H61"/>
    <mergeCell ref="H52:I52"/>
    <mergeCell ref="G55:H55"/>
  </mergeCells>
  <printOptions/>
  <pageMargins left="1.05" right="0.57" top="1" bottom="1" header="0" footer="0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Autorizado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Belisario Soria U</dc:creator>
  <cp:keywords/>
  <dc:description/>
  <cp:lastModifiedBy>Administrador</cp:lastModifiedBy>
  <cp:lastPrinted>2005-11-10T23:39:21Z</cp:lastPrinted>
  <dcterms:created xsi:type="dcterms:W3CDTF">2003-05-13T09:59:10Z</dcterms:created>
  <dcterms:modified xsi:type="dcterms:W3CDTF">2013-10-25T18:56:55Z</dcterms:modified>
  <cp:category/>
  <cp:version/>
  <cp:contentType/>
  <cp:contentStatus/>
</cp:coreProperties>
</file>